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<sst xmlns="http://schemas.openxmlformats.org/spreadsheetml/2006/main" count="1600" uniqueCount="315">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</sst>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492087.88000000006</v>
      </c>
      <c r="G8" s="18">
        <f aca="true" t="shared" si="0" ref="G8:G54">F8-E8</f>
        <v>-11437.589999999967</v>
      </c>
      <c r="H8" s="45">
        <f>F8/E8*100</f>
        <v>97.72849822274135</v>
      </c>
      <c r="I8" s="31">
        <f aca="true" t="shared" si="1" ref="I8:I54">F8-D8</f>
        <v>-80201.11999999994</v>
      </c>
      <c r="J8" s="31">
        <f aca="true" t="shared" si="2" ref="J8:J14">F8/D8*100</f>
        <v>85.98590572245843</v>
      </c>
      <c r="K8" s="18">
        <f>K9+K15+K18+K19+K20+K32</f>
        <v>90863.08800000002</v>
      </c>
      <c r="L8" s="18"/>
      <c r="M8" s="18">
        <f>M9+M15+M18+M19+M20+M32+M17</f>
        <v>44772.97000000001</v>
      </c>
      <c r="N8" s="18">
        <f>N9+N15+N18+N19+N20+N32+N17</f>
        <v>11208.630000000041</v>
      </c>
      <c r="O8" s="31">
        <f aca="true" t="shared" si="3" ref="O8:O54">N8-M8</f>
        <v>-33564.33999999997</v>
      </c>
      <c r="P8" s="31">
        <f>F8/M8*100</f>
        <v>1099.073570504704</v>
      </c>
      <c r="Q8" s="31">
        <f>N8-33748.16</f>
        <v>-22539.529999999962</v>
      </c>
      <c r="R8" s="125">
        <f>N8/33748.16</f>
        <v>0.3321256625546412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273146.63</v>
      </c>
      <c r="G9" s="43">
        <f t="shared" si="0"/>
        <v>3281.5100000000093</v>
      </c>
      <c r="H9" s="35">
        <f aca="true" t="shared" si="4" ref="H9:H32">F9/E9*100</f>
        <v>101.21598152440004</v>
      </c>
      <c r="I9" s="50">
        <f t="shared" si="1"/>
        <v>-39543.369999999995</v>
      </c>
      <c r="J9" s="50">
        <f t="shared" si="2"/>
        <v>87.3538104832262</v>
      </c>
      <c r="K9" s="132">
        <f>F9-316022.19/75*60</f>
        <v>20328.877999999997</v>
      </c>
      <c r="L9" s="132">
        <f>F9/(316022.19/75*60)*100</f>
        <v>108.04092190488268</v>
      </c>
      <c r="M9" s="35">
        <f>E9-вересень!E9</f>
        <v>21250.570000000007</v>
      </c>
      <c r="N9" s="35">
        <f>F9-вересень!F9</f>
        <v>8771.22000000003</v>
      </c>
      <c r="O9" s="47">
        <f t="shared" si="3"/>
        <v>-12479.349999999977</v>
      </c>
      <c r="P9" s="50">
        <f aca="true" t="shared" si="5" ref="P9:P32">N9/M9*100</f>
        <v>41.27522226462644</v>
      </c>
      <c r="Q9" s="132">
        <f>N9-26568.11</f>
        <v>-17796.88999999997</v>
      </c>
      <c r="R9" s="133">
        <f>N9/26568.11</f>
        <v>0.3301409095340252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242156.25</v>
      </c>
      <c r="G10" s="135">
        <f t="shared" si="0"/>
        <v>6195.429999999993</v>
      </c>
      <c r="H10" s="137">
        <f t="shared" si="4"/>
        <v>102.62561810049651</v>
      </c>
      <c r="I10" s="136">
        <f t="shared" si="1"/>
        <v>1746.25</v>
      </c>
      <c r="J10" s="136">
        <f t="shared" si="2"/>
        <v>100.72636329603594</v>
      </c>
      <c r="K10" s="138">
        <f>F10-281171.58/75*60</f>
        <v>17218.986000000004</v>
      </c>
      <c r="L10" s="138">
        <f>F10/(281171.58/75*60)*100</f>
        <v>107.65501708956502</v>
      </c>
      <c r="M10" s="137">
        <f>E10-вересень!E10</f>
        <v>17470.570000000007</v>
      </c>
      <c r="N10" s="137">
        <f>F10-вересень!F10</f>
        <v>8219.76999999999</v>
      </c>
      <c r="O10" s="138">
        <f t="shared" si="3"/>
        <v>-9250.800000000017</v>
      </c>
      <c r="P10" s="136">
        <f t="shared" si="5"/>
        <v>47.049237660820374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14021.84</v>
      </c>
      <c r="G11" s="135">
        <f t="shared" si="0"/>
        <v>-4896.060000000001</v>
      </c>
      <c r="H11" s="137">
        <f t="shared" si="4"/>
        <v>74.1194318608302</v>
      </c>
      <c r="I11" s="136">
        <f t="shared" si="1"/>
        <v>-9678.16</v>
      </c>
      <c r="J11" s="136">
        <f t="shared" si="2"/>
        <v>59.16388185654009</v>
      </c>
      <c r="K11" s="138">
        <f>F11-21169.22/75*60</f>
        <v>-2913.5360000000037</v>
      </c>
      <c r="L11" s="138">
        <f>F11/(21169.22/75*60)*100</f>
        <v>82.79615403874114</v>
      </c>
      <c r="M11" s="137">
        <f>E11-вересень!E11</f>
        <v>2130</v>
      </c>
      <c r="N11" s="137">
        <f>F11-вересень!F11</f>
        <v>19.149999999999636</v>
      </c>
      <c r="O11" s="138">
        <f t="shared" si="3"/>
        <v>-2110.8500000000004</v>
      </c>
      <c r="P11" s="136">
        <f t="shared" si="5"/>
        <v>0.8990610328638327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3867.88</v>
      </c>
      <c r="G12" s="135">
        <f t="shared" si="0"/>
        <v>-581.1199999999999</v>
      </c>
      <c r="H12" s="137">
        <f t="shared" si="4"/>
        <v>86.93818835693415</v>
      </c>
      <c r="I12" s="136">
        <f t="shared" si="1"/>
        <v>-1932.12</v>
      </c>
      <c r="J12" s="136">
        <f t="shared" si="2"/>
        <v>66.68758620689655</v>
      </c>
      <c r="K12" s="138">
        <f>F12-5687.46/75*60</f>
        <v>-682.0880000000006</v>
      </c>
      <c r="L12" s="138">
        <f>F12/(5687.46*60)*100</f>
        <v>1.133452660179881</v>
      </c>
      <c r="M12" s="137">
        <f>E12-вересень!E12</f>
        <v>540</v>
      </c>
      <c r="N12" s="137">
        <f>F12-вересень!F12</f>
        <v>123.24000000000024</v>
      </c>
      <c r="O12" s="138">
        <f t="shared" si="3"/>
        <v>-416.75999999999976</v>
      </c>
      <c r="P12" s="136">
        <f t="shared" si="5"/>
        <v>22.822222222222265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5822.34</v>
      </c>
      <c r="G13" s="135">
        <f t="shared" si="0"/>
        <v>-1121.0599999999995</v>
      </c>
      <c r="H13" s="137">
        <f t="shared" si="4"/>
        <v>83.85430768787626</v>
      </c>
      <c r="I13" s="136">
        <f t="shared" si="1"/>
        <v>-2577.66</v>
      </c>
      <c r="J13" s="136">
        <f t="shared" si="2"/>
        <v>69.31357142857144</v>
      </c>
      <c r="K13" s="138">
        <f>F13-7878.81/75*60</f>
        <v>-480.70800000000054</v>
      </c>
      <c r="L13" s="138">
        <f>F13/(7878.81/75*60)*100</f>
        <v>92.37340410544232</v>
      </c>
      <c r="M13" s="137">
        <f>E13-вересень!E13</f>
        <v>720</v>
      </c>
      <c r="N13" s="137">
        <f>F13-вересень!F13</f>
        <v>92.10000000000036</v>
      </c>
      <c r="O13" s="138">
        <f t="shared" si="3"/>
        <v>-627.8999999999996</v>
      </c>
      <c r="P13" s="136">
        <f t="shared" si="5"/>
        <v>12.791666666666718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7278.31</v>
      </c>
      <c r="G14" s="135">
        <f t="shared" si="0"/>
        <v>3684.3100000000004</v>
      </c>
      <c r="H14" s="137">
        <f t="shared" si="4"/>
        <v>202.51279910962717</v>
      </c>
      <c r="I14" s="136">
        <f t="shared" si="1"/>
        <v>2898.3100000000004</v>
      </c>
      <c r="J14" s="136">
        <f t="shared" si="2"/>
        <v>166.17146118721462</v>
      </c>
      <c r="K14" s="138">
        <f>F14-115.12/75*60</f>
        <v>7186.214</v>
      </c>
      <c r="L14" s="138">
        <f>F14/(115.12/75*60)*100</f>
        <v>7902.959954829743</v>
      </c>
      <c r="M14" s="137">
        <f>E14-вересень!E14</f>
        <v>390</v>
      </c>
      <c r="N14" s="137">
        <f>F14-вересень!F14</f>
        <v>316.9500000000007</v>
      </c>
      <c r="O14" s="138">
        <f t="shared" si="3"/>
        <v>-73.04999999999927</v>
      </c>
      <c r="P14" s="136">
        <f t="shared" si="5"/>
        <v>81.26923076923096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F15-(-880.89)</f>
        <v>214.19999999999993</v>
      </c>
      <c r="L15" s="53">
        <f>F15/(-880.89)*100</f>
        <v>75.68368354732146</v>
      </c>
      <c r="M15" s="35">
        <f>E15-вересень!E15</f>
        <v>0</v>
      </c>
      <c r="N15" s="35">
        <f>F15-вересень!F15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51492.68</v>
      </c>
      <c r="G19" s="43">
        <f t="shared" si="0"/>
        <v>-6030.07</v>
      </c>
      <c r="H19" s="35">
        <f t="shared" si="4"/>
        <v>89.51706933343763</v>
      </c>
      <c r="I19" s="50">
        <f t="shared" si="1"/>
        <v>-10717.32</v>
      </c>
      <c r="J19" s="178">
        <f>F19/D19*100</f>
        <v>82.77235171194341</v>
      </c>
      <c r="K19" s="179">
        <f>F19-0</f>
        <v>51492.68</v>
      </c>
      <c r="L19" s="180"/>
      <c r="M19" s="35">
        <f>E19-вересень!E19</f>
        <v>6800</v>
      </c>
      <c r="N19" s="35">
        <f>F19-вересень!F19</f>
        <v>23.80999999999767</v>
      </c>
      <c r="O19" s="47">
        <f t="shared" si="3"/>
        <v>-6776.190000000002</v>
      </c>
      <c r="P19" s="50">
        <f t="shared" si="5"/>
        <v>0.35014705882349517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162519.23</v>
      </c>
      <c r="G20" s="43">
        <f t="shared" si="0"/>
        <v>-7674.669999999984</v>
      </c>
      <c r="H20" s="35">
        <f t="shared" si="4"/>
        <v>95.49063156787642</v>
      </c>
      <c r="I20" s="50">
        <f t="shared" si="1"/>
        <v>-27350.76999999999</v>
      </c>
      <c r="J20" s="178">
        <f aca="true" t="shared" si="6" ref="J20:J46">F20/D20*100</f>
        <v>85.59500184336653</v>
      </c>
      <c r="K20" s="178">
        <f>K21+K25+K26+K27</f>
        <v>20613.660000000014</v>
      </c>
      <c r="L20" s="136"/>
      <c r="M20" s="35">
        <f>E20-вересень!E20</f>
        <v>16715.5</v>
      </c>
      <c r="N20" s="35">
        <f>F20-вересень!F20</f>
        <v>2412.640000000014</v>
      </c>
      <c r="O20" s="47">
        <f t="shared" si="3"/>
        <v>-14302.859999999986</v>
      </c>
      <c r="P20" s="50">
        <f t="shared" si="5"/>
        <v>14.4335496993809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89635.64</v>
      </c>
      <c r="G21" s="43">
        <f t="shared" si="0"/>
        <v>-6646.759999999995</v>
      </c>
      <c r="H21" s="35">
        <f t="shared" si="4"/>
        <v>93.09659917077265</v>
      </c>
      <c r="I21" s="50">
        <f t="shared" si="1"/>
        <v>-20664.36</v>
      </c>
      <c r="J21" s="178">
        <f t="shared" si="6"/>
        <v>81.26531278331822</v>
      </c>
      <c r="K21" s="178">
        <f>K22+K23+K24</f>
        <v>20931.80000000001</v>
      </c>
      <c r="L21" s="136"/>
      <c r="M21" s="35">
        <f>E21-вересень!E21</f>
        <v>10382</v>
      </c>
      <c r="N21" s="35">
        <f>F21-вересень!F21</f>
        <v>656.320000000007</v>
      </c>
      <c r="O21" s="47">
        <f t="shared" si="3"/>
        <v>-9725.679999999993</v>
      </c>
      <c r="P21" s="50">
        <f t="shared" si="5"/>
        <v>6.3217106530534295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9266.49</v>
      </c>
      <c r="G22" s="135">
        <f t="shared" si="0"/>
        <v>-1378.9099999999999</v>
      </c>
      <c r="H22" s="137">
        <f t="shared" si="4"/>
        <v>87.04689349390347</v>
      </c>
      <c r="I22" s="136">
        <f t="shared" si="1"/>
        <v>-1433.5100000000002</v>
      </c>
      <c r="J22" s="136">
        <f t="shared" si="6"/>
        <v>86.60271028037383</v>
      </c>
      <c r="K22" s="136">
        <f>F22-437</f>
        <v>8829.49</v>
      </c>
      <c r="L22" s="136">
        <f>F22/437*100</f>
        <v>2120.478260869565</v>
      </c>
      <c r="M22" s="137">
        <f>E22-вересень!E22</f>
        <v>1851</v>
      </c>
      <c r="N22" s="137">
        <f>F22-вересень!F22</f>
        <v>134.8099999999995</v>
      </c>
      <c r="O22" s="138">
        <f t="shared" si="3"/>
        <v>-1716.1900000000005</v>
      </c>
      <c r="P22" s="136">
        <f t="shared" si="5"/>
        <v>7.283090221501863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3336.16</v>
      </c>
      <c r="G23" s="135">
        <f t="shared" si="0"/>
        <v>1244.1599999999999</v>
      </c>
      <c r="H23" s="137">
        <f t="shared" si="4"/>
        <v>159.472275334608</v>
      </c>
      <c r="I23" s="136">
        <f t="shared" si="1"/>
        <v>1236.1599999999999</v>
      </c>
      <c r="J23" s="136">
        <f t="shared" si="6"/>
        <v>158.8647619047619</v>
      </c>
      <c r="K23" s="136">
        <f>F23-0</f>
        <v>3336.16</v>
      </c>
      <c r="L23" s="136"/>
      <c r="M23" s="137">
        <f>E23-вересень!E23</f>
        <v>305</v>
      </c>
      <c r="N23" s="137">
        <f>F23-вересень!F23</f>
        <v>2.5299999999997453</v>
      </c>
      <c r="O23" s="138">
        <f t="shared" si="3"/>
        <v>-302.47000000000025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77032.99</v>
      </c>
      <c r="G24" s="135">
        <f t="shared" si="0"/>
        <v>-6512.009999999995</v>
      </c>
      <c r="H24" s="137">
        <f t="shared" si="4"/>
        <v>92.20538631875039</v>
      </c>
      <c r="I24" s="136">
        <f t="shared" si="1"/>
        <v>-20467.009999999995</v>
      </c>
      <c r="J24" s="136">
        <f t="shared" si="6"/>
        <v>79.00819487179488</v>
      </c>
      <c r="K24" s="224">
        <f>F24-68266.84</f>
        <v>8766.150000000009</v>
      </c>
      <c r="L24" s="224">
        <f>F24/68266.84*100</f>
        <v>112.84100743494207</v>
      </c>
      <c r="M24" s="137">
        <f>E24-вересень!E24</f>
        <v>8226</v>
      </c>
      <c r="N24" s="137">
        <f>F24-вересень!F24</f>
        <v>518.9800000000105</v>
      </c>
      <c r="O24" s="138">
        <f t="shared" si="3"/>
        <v>-7707.0199999999895</v>
      </c>
      <c r="P24" s="136">
        <f t="shared" si="5"/>
        <v>6.309020179917463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-718.23</v>
      </c>
      <c r="G26" s="43">
        <f t="shared" si="0"/>
        <v>-718.23</v>
      </c>
      <c r="H26" s="35"/>
      <c r="I26" s="50">
        <f t="shared" si="1"/>
        <v>-718.23</v>
      </c>
      <c r="J26" s="136"/>
      <c r="K26" s="178">
        <f>F26-5295.66</f>
        <v>-6013.889999999999</v>
      </c>
      <c r="L26" s="178">
        <f>F26/5295.66*100</f>
        <v>-13.56261542470627</v>
      </c>
      <c r="M26" s="35">
        <f>E26-вересень!E26</f>
        <v>0</v>
      </c>
      <c r="N26" s="35">
        <f>F26-вересень!F26</f>
        <v>-12.25</v>
      </c>
      <c r="O26" s="47">
        <f t="shared" si="3"/>
        <v>-12.25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73545.97</v>
      </c>
      <c r="G27" s="43">
        <f t="shared" si="0"/>
        <v>-314.02999999999884</v>
      </c>
      <c r="H27" s="35">
        <f t="shared" si="4"/>
        <v>99.574830760899</v>
      </c>
      <c r="I27" s="50">
        <f t="shared" si="1"/>
        <v>-5954.029999999999</v>
      </c>
      <c r="J27" s="178">
        <f t="shared" si="6"/>
        <v>92.51065408805032</v>
      </c>
      <c r="K27" s="132">
        <f>F27-67857.28</f>
        <v>5688.690000000002</v>
      </c>
      <c r="L27" s="132">
        <f>F27/67857.28*100</f>
        <v>108.38331568845672</v>
      </c>
      <c r="M27" s="35">
        <f>E27-вересень!E27</f>
        <v>6323.5</v>
      </c>
      <c r="N27" s="35">
        <f>F27-вересень!F27</f>
        <v>1768.570000000007</v>
      </c>
      <c r="O27" s="47">
        <f t="shared" si="3"/>
        <v>-4554.929999999993</v>
      </c>
      <c r="P27" s="50">
        <f t="shared" si="5"/>
        <v>27.96821380564572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17970.65</v>
      </c>
      <c r="G29" s="135">
        <f t="shared" si="0"/>
        <v>-109.34999999999854</v>
      </c>
      <c r="H29" s="137">
        <f t="shared" si="4"/>
        <v>99.39518805309734</v>
      </c>
      <c r="I29" s="136">
        <f t="shared" si="1"/>
        <v>-1229.3499999999985</v>
      </c>
      <c r="J29" s="136">
        <f t="shared" si="6"/>
        <v>93.59713541666667</v>
      </c>
      <c r="K29" s="139">
        <f>F29-18415.97</f>
        <v>-445.3199999999997</v>
      </c>
      <c r="L29" s="139">
        <f>F29/18415.97*100</f>
        <v>97.58188137795621</v>
      </c>
      <c r="M29" s="137">
        <f>E29-вересень!E29</f>
        <v>1300</v>
      </c>
      <c r="N29" s="137">
        <f>F29-вересень!F29</f>
        <v>230.89000000000306</v>
      </c>
      <c r="O29" s="138">
        <f t="shared" si="3"/>
        <v>-1069.109999999997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55553.65</v>
      </c>
      <c r="G30" s="135">
        <f t="shared" si="0"/>
        <v>-226.34999999999854</v>
      </c>
      <c r="H30" s="137">
        <f t="shared" si="4"/>
        <v>99.59420939404805</v>
      </c>
      <c r="I30" s="136">
        <f t="shared" si="1"/>
        <v>-4746.3499999999985</v>
      </c>
      <c r="J30" s="136">
        <f t="shared" si="6"/>
        <v>92.1287728026534</v>
      </c>
      <c r="K30" s="139">
        <f>F30-49440.11</f>
        <v>6113.540000000001</v>
      </c>
      <c r="L30" s="139">
        <f>F30/49440.11*100</f>
        <v>112.36554692131551</v>
      </c>
      <c r="M30" s="137">
        <f>E30-вересень!E30</f>
        <v>5023.5</v>
      </c>
      <c r="N30" s="137">
        <f>F30-вересень!F30</f>
        <v>1537.6800000000003</v>
      </c>
      <c r="O30" s="138">
        <f t="shared" si="3"/>
        <v>-3485.8199999999997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5580.14</v>
      </c>
      <c r="G32" s="43">
        <f t="shared" si="0"/>
        <v>-179.15999999999985</v>
      </c>
      <c r="H32" s="35">
        <f t="shared" si="4"/>
        <v>96.88920528536454</v>
      </c>
      <c r="I32" s="50">
        <f t="shared" si="1"/>
        <v>-1919.8599999999997</v>
      </c>
      <c r="J32" s="178">
        <f t="shared" si="6"/>
        <v>74.40186666666668</v>
      </c>
      <c r="K32" s="178">
        <f>F32-7378.96</f>
        <v>-1798.8199999999997</v>
      </c>
      <c r="L32" s="178">
        <f>F32/7378.96*100</f>
        <v>75.62230991901299</v>
      </c>
      <c r="M32" s="35">
        <f>E32-вересень!E32</f>
        <v>6.900000000000546</v>
      </c>
      <c r="N32" s="35">
        <f>F32-вересень!F32</f>
        <v>0.9600000000000364</v>
      </c>
      <c r="O32" s="47">
        <f t="shared" si="3"/>
        <v>-5.940000000000509</v>
      </c>
      <c r="P32" s="50">
        <f t="shared" si="5"/>
        <v>13.913043478260295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33707.090000000004</v>
      </c>
      <c r="G33" s="44">
        <f t="shared" si="0"/>
        <v>1156.8200000000033</v>
      </c>
      <c r="H33" s="45">
        <f aca="true" t="shared" si="7" ref="H33:H38">F33/E33*100</f>
        <v>103.55394901486225</v>
      </c>
      <c r="I33" s="31">
        <f t="shared" si="1"/>
        <v>-1932.479999999996</v>
      </c>
      <c r="J33" s="31">
        <f t="shared" si="6"/>
        <v>94.5777123573601</v>
      </c>
      <c r="K33" s="18">
        <f>K34+K35+K36+K37+K38+K41+K42+K47+K48+K52+K40</f>
        <v>22918.920000000002</v>
      </c>
      <c r="L33" s="18"/>
      <c r="M33" s="18">
        <f>M34+M35+M36+M37+M38+M41+M42+M47+M48+M52+M40+M39</f>
        <v>5900.27</v>
      </c>
      <c r="N33" s="18">
        <f>N34+N35+N36+N37+N38+N41+N42+N47+N48+N52+N40+N39</f>
        <v>5462.46</v>
      </c>
      <c r="O33" s="49">
        <f t="shared" si="3"/>
        <v>-437.8100000000004</v>
      </c>
      <c r="P33" s="31">
        <f>N33/M33*100</f>
        <v>92.57983109247542</v>
      </c>
      <c r="Q33" s="31">
        <f>N33-1017.63</f>
        <v>4444.83</v>
      </c>
      <c r="R33" s="127">
        <f>N33/1017.63</f>
        <v>5.3678252410011495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328.12</v>
      </c>
      <c r="G36" s="43">
        <f t="shared" si="0"/>
        <v>88.12</v>
      </c>
      <c r="H36" s="35">
        <f t="shared" si="7"/>
        <v>136.71666666666667</v>
      </c>
      <c r="I36" s="50">
        <f t="shared" si="1"/>
        <v>88.12</v>
      </c>
      <c r="J36" s="50"/>
      <c r="K36" s="50">
        <f>F36-279.6</f>
        <v>48.51999999999998</v>
      </c>
      <c r="L36" s="50">
        <f>F36/279.6*100</f>
        <v>117.3533619456366</v>
      </c>
      <c r="M36" s="35">
        <f>E36-вересень!E36</f>
        <v>0</v>
      </c>
      <c r="N36" s="35">
        <f>F36-вересень!F36</f>
        <v>6.139999999999986</v>
      </c>
      <c r="O36" s="47">
        <f t="shared" si="3"/>
        <v>6.139999999999986</v>
      </c>
      <c r="P36" s="50"/>
      <c r="Q36" s="50">
        <f>N36-4.23</f>
        <v>1.909999999999986</v>
      </c>
      <c r="R36" s="126">
        <f>N36/4.23</f>
        <v>1.4515366430260013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117.48</v>
      </c>
      <c r="G38" s="43">
        <f t="shared" si="0"/>
        <v>-2.519999999999996</v>
      </c>
      <c r="H38" s="35">
        <f t="shared" si="7"/>
        <v>97.89999999999999</v>
      </c>
      <c r="I38" s="50">
        <f t="shared" si="1"/>
        <v>-22.519999999999996</v>
      </c>
      <c r="J38" s="50">
        <f t="shared" si="6"/>
        <v>83.91428571428573</v>
      </c>
      <c r="K38" s="50">
        <f>F38-112.45</f>
        <v>5.030000000000001</v>
      </c>
      <c r="L38" s="50">
        <f>F38/112.45*100</f>
        <v>104.47309915518008</v>
      </c>
      <c r="M38" s="35">
        <f>E38-вересень!E38</f>
        <v>15</v>
      </c>
      <c r="N38" s="35">
        <f>F38-вересень!F38</f>
        <v>0.37000000000000455</v>
      </c>
      <c r="O38" s="47">
        <f t="shared" si="3"/>
        <v>-14.629999999999995</v>
      </c>
      <c r="P38" s="50">
        <f>N38/M38*100</f>
        <v>2.466666666666697</v>
      </c>
      <c r="Q38" s="50">
        <f>N38-9.02</f>
        <v>-8.649999999999995</v>
      </c>
      <c r="R38" s="126">
        <f>N38/9.02</f>
        <v>0.041019955654102505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7829.6</v>
      </c>
      <c r="G40" s="43">
        <f t="shared" si="0"/>
        <v>-1007.3999999999996</v>
      </c>
      <c r="H40" s="35">
        <f aca="true" t="shared" si="8" ref="H40:H46">F40/E40*100</f>
        <v>88.60020368903474</v>
      </c>
      <c r="I40" s="50">
        <f t="shared" si="1"/>
        <v>-1170.3999999999996</v>
      </c>
      <c r="J40" s="50"/>
      <c r="K40" s="50">
        <f>F40-0</f>
        <v>7829.6</v>
      </c>
      <c r="L40" s="50"/>
      <c r="M40" s="35">
        <f>E40-вересень!E40</f>
        <v>900</v>
      </c>
      <c r="N40" s="35">
        <f>F40-вересень!F40</f>
        <v>224.14000000000033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5845.73</v>
      </c>
      <c r="G42" s="43">
        <f t="shared" si="0"/>
        <v>-545.5700000000006</v>
      </c>
      <c r="H42" s="35">
        <f t="shared" si="8"/>
        <v>91.46386494140472</v>
      </c>
      <c r="I42" s="50">
        <f t="shared" si="1"/>
        <v>-1254.2700000000004</v>
      </c>
      <c r="J42" s="50">
        <f t="shared" si="6"/>
        <v>82.33422535211267</v>
      </c>
      <c r="K42" s="50">
        <f>F42-865.17</f>
        <v>4980.5599999999995</v>
      </c>
      <c r="L42" s="50">
        <f>F42/865.17*100</f>
        <v>675.6741449657293</v>
      </c>
      <c r="M42" s="35">
        <f>E42-вересень!E42</f>
        <v>592.3000000000002</v>
      </c>
      <c r="N42" s="35">
        <f>F42-вересень!F42</f>
        <v>123.77999999999975</v>
      </c>
      <c r="O42" s="47">
        <f t="shared" si="3"/>
        <v>-468.52000000000044</v>
      </c>
      <c r="P42" s="50">
        <f>N42/M42*100</f>
        <v>20.8981934830322</v>
      </c>
      <c r="Q42" s="50">
        <f>N42-79.51</f>
        <v>44.26999999999974</v>
      </c>
      <c r="R42" s="126">
        <f>N42/79.51</f>
        <v>1.556785310023893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816.83</v>
      </c>
      <c r="G43" s="135">
        <f t="shared" si="0"/>
        <v>-93.16999999999996</v>
      </c>
      <c r="H43" s="35">
        <f t="shared" si="8"/>
        <v>89.76153846153846</v>
      </c>
      <c r="I43" s="136">
        <f t="shared" si="1"/>
        <v>-283.16999999999996</v>
      </c>
      <c r="J43" s="136">
        <f t="shared" si="6"/>
        <v>74.25727272727272</v>
      </c>
      <c r="K43" s="136">
        <f>F43-757.36</f>
        <v>59.47000000000003</v>
      </c>
      <c r="L43" s="136">
        <f>F43/757.36*100</f>
        <v>107.8522763282983</v>
      </c>
      <c r="M43" s="137">
        <f>E43-вересень!E43</f>
        <v>70</v>
      </c>
      <c r="N43" s="137">
        <f>F43-вересень!F43</f>
        <v>14.990000000000009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4984.07</v>
      </c>
      <c r="G46" s="135">
        <f t="shared" si="0"/>
        <v>-425.9300000000003</v>
      </c>
      <c r="H46" s="35">
        <f t="shared" si="8"/>
        <v>92.12698706099815</v>
      </c>
      <c r="I46" s="136">
        <f t="shared" si="1"/>
        <v>-933.9300000000003</v>
      </c>
      <c r="J46" s="136">
        <f t="shared" si="6"/>
        <v>84.21882392700236</v>
      </c>
      <c r="K46" s="136">
        <f>F46-107.81</f>
        <v>4876.259999999999</v>
      </c>
      <c r="L46" s="136">
        <f>F46/107.81*100</f>
        <v>4623.012707541045</v>
      </c>
      <c r="M46" s="137">
        <f>E46-вересень!E46</f>
        <v>512</v>
      </c>
      <c r="N46" s="137">
        <f>F46-вересень!F46</f>
        <v>108.77999999999975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3690.83</v>
      </c>
      <c r="G48" s="43">
        <f t="shared" si="0"/>
        <v>240.82999999999993</v>
      </c>
      <c r="H48" s="35">
        <f>F48/E48*100</f>
        <v>106.98057971014492</v>
      </c>
      <c r="I48" s="50">
        <f t="shared" si="1"/>
        <v>-509.1700000000001</v>
      </c>
      <c r="J48" s="50">
        <f>F48/D48*100</f>
        <v>87.87690476190477</v>
      </c>
      <c r="K48" s="50">
        <f>F48-3446.94</f>
        <v>243.88999999999987</v>
      </c>
      <c r="L48" s="50">
        <f>F48/3446.94*100</f>
        <v>107.07555106848392</v>
      </c>
      <c r="M48" s="35">
        <f>E48-вересень!E48</f>
        <v>360</v>
      </c>
      <c r="N48" s="35">
        <f>F48-вересень!F48</f>
        <v>119.38000000000011</v>
      </c>
      <c r="O48" s="47">
        <f t="shared" si="3"/>
        <v>-240.6199999999999</v>
      </c>
      <c r="P48" s="50">
        <f aca="true" t="shared" si="9" ref="P48:P53">N48/M48*100</f>
        <v>33.16111111111114</v>
      </c>
      <c r="Q48" s="50">
        <f>N48-277.38</f>
        <v>-157.9999999999999</v>
      </c>
      <c r="R48" s="126">
        <f>N48/277.38</f>
        <v>0.4303843103323964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1015.6</v>
      </c>
      <c r="G51" s="135">
        <f t="shared" si="0"/>
        <v>1015.6</v>
      </c>
      <c r="H51" s="137"/>
      <c r="I51" s="136">
        <f t="shared" si="1"/>
        <v>1015.6</v>
      </c>
      <c r="J51" s="136"/>
      <c r="K51" s="219">
        <f>F51-838.39</f>
        <v>177.21000000000004</v>
      </c>
      <c r="L51" s="219">
        <f>F51/838.39*100</f>
        <v>121.1369410417586</v>
      </c>
      <c r="M51" s="35">
        <f>E51-вересень!E51</f>
        <v>0</v>
      </c>
      <c r="N51" s="35">
        <f>F51-вересень!F51</f>
        <v>36.39999999999998</v>
      </c>
      <c r="O51" s="138">
        <f t="shared" si="3"/>
        <v>36.39999999999998</v>
      </c>
      <c r="P51" s="136"/>
      <c r="Q51" s="50">
        <f>N51-64.93</f>
        <v>-28.53000000000003</v>
      </c>
      <c r="R51" s="126">
        <f>N51/64.93</f>
        <v>0.5606037270907127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525813.7000000002</v>
      </c>
      <c r="G55" s="44">
        <f>F55-E55</f>
        <v>-10283.639999999781</v>
      </c>
      <c r="H55" s="45">
        <f>F55/E55*100</f>
        <v>98.08175880895067</v>
      </c>
      <c r="I55" s="31">
        <f>F55-D55</f>
        <v>-82141.36999999976</v>
      </c>
      <c r="J55" s="31">
        <f>F55/D55*100</f>
        <v>86.48890780695359</v>
      </c>
      <c r="K55" s="31">
        <f>K8+K33+K53+K54</f>
        <v>113778.65800000002</v>
      </c>
      <c r="L55" s="31">
        <f>F55/(F55-K55)*100</f>
        <v>127.6138304760982</v>
      </c>
      <c r="M55" s="18">
        <f>M8+M33+M53+M54</f>
        <v>50675.44</v>
      </c>
      <c r="N55" s="18">
        <f>N8+N33+N53+N54</f>
        <v>16675.09000000004</v>
      </c>
      <c r="O55" s="49">
        <f>N55-M55</f>
        <v>-34000.34999999996</v>
      </c>
      <c r="P55" s="31">
        <f>N55/M55*100</f>
        <v>32.90566396660797</v>
      </c>
      <c r="Q55" s="31">
        <f>N55-34768</f>
        <v>-18092.90999999996</v>
      </c>
      <c r="R55" s="171">
        <f>N55/34768</f>
        <v>0.47961027381500343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F61-263.25</f>
        <v>-314.95</v>
      </c>
      <c r="L61" s="53"/>
      <c r="M61" s="35">
        <v>0</v>
      </c>
      <c r="N61" s="36">
        <f>F61-вересень!F61</f>
        <v>0</v>
      </c>
      <c r="O61" s="47">
        <f aca="true" t="shared" si="12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-314.95</v>
      </c>
      <c r="L62" s="54"/>
      <c r="M62" s="55">
        <f>M61</f>
        <v>0</v>
      </c>
      <c r="N62" s="33">
        <f>SUM(N60:N61)</f>
        <v>0</v>
      </c>
      <c r="O62" s="54">
        <f t="shared" si="12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F64-1754.79</f>
        <v>-1161.69</v>
      </c>
      <c r="L64" s="53">
        <f>F64/1754.79*100</f>
        <v>33.79891610961996</v>
      </c>
      <c r="M64" s="35">
        <f>E64-вересень!E64</f>
        <v>0</v>
      </c>
      <c r="N64" s="35">
        <f>F64-вересень!F64</f>
        <v>0</v>
      </c>
      <c r="O64" s="47">
        <f t="shared" si="12"/>
        <v>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3987.63</v>
      </c>
      <c r="G65" s="43">
        <f t="shared" si="10"/>
        <v>-2748.3499999999995</v>
      </c>
      <c r="H65" s="35">
        <f>F65/E65*100</f>
        <v>59.19895842921149</v>
      </c>
      <c r="I65" s="53">
        <f t="shared" si="11"/>
        <v>-7588.37</v>
      </c>
      <c r="J65" s="53">
        <f t="shared" si="13"/>
        <v>34.447391154111955</v>
      </c>
      <c r="K65" s="53">
        <f>F65-2762.1</f>
        <v>1225.5300000000002</v>
      </c>
      <c r="L65" s="53">
        <f>F65/2762.1*100</f>
        <v>144.36950146627566</v>
      </c>
      <c r="M65" s="35">
        <f>E65-вересень!E65</f>
        <v>1273.8199999999997</v>
      </c>
      <c r="N65" s="35">
        <f>F65-вересень!F65</f>
        <v>0</v>
      </c>
      <c r="O65" s="47">
        <f t="shared" si="12"/>
        <v>-1273.8199999999997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6439.81</v>
      </c>
      <c r="G67" s="55">
        <f t="shared" si="10"/>
        <v>-3229.069999999999</v>
      </c>
      <c r="H67" s="65">
        <f>F67/E67*100</f>
        <v>66.60347423900184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788.9000000000001</v>
      </c>
      <c r="L67" s="54"/>
      <c r="M67" s="55">
        <f>M64+M65+M66</f>
        <v>1421.9199999999998</v>
      </c>
      <c r="N67" s="55">
        <f>N64+N65+N66</f>
        <v>0</v>
      </c>
      <c r="O67" s="54">
        <f t="shared" si="12"/>
        <v>-1421.9199999999998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29.22</v>
      </c>
      <c r="G72" s="43">
        <f>F72-E72</f>
        <v>-4.200000000000003</v>
      </c>
      <c r="H72" s="35">
        <f>F72/E72*100</f>
        <v>87.4326750448833</v>
      </c>
      <c r="I72" s="53">
        <f>F72-D72</f>
        <v>-12.780000000000001</v>
      </c>
      <c r="J72" s="53">
        <f>F72/D72*100</f>
        <v>69.57142857142857</v>
      </c>
      <c r="K72" s="53">
        <f>F72-33.03</f>
        <v>-3.8100000000000023</v>
      </c>
      <c r="L72" s="53">
        <f>F72/33.03*100</f>
        <v>88.46503178928246</v>
      </c>
      <c r="M72" s="35">
        <f>E72-вересень!E72</f>
        <v>1.2000000000000028</v>
      </c>
      <c r="N72" s="35">
        <f>F72-вересень!F72</f>
        <v>0</v>
      </c>
      <c r="O72" s="47">
        <f>N72-M72</f>
        <v>-1.2000000000000028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6418.880000000001</v>
      </c>
      <c r="G74" s="44">
        <f>F74-E74</f>
        <v>-3332.4199999999983</v>
      </c>
      <c r="H74" s="45">
        <f>F74/E74*100</f>
        <v>65.82588988134917</v>
      </c>
      <c r="I74" s="31">
        <f>F74-D74</f>
        <v>-10753.119999999999</v>
      </c>
      <c r="J74" s="31">
        <f>F74/D74*100</f>
        <v>37.37992080130446</v>
      </c>
      <c r="K74" s="31">
        <f>K62+K67+K71+K72</f>
        <v>415.7100000000001</v>
      </c>
      <c r="L74" s="31"/>
      <c r="M74" s="27">
        <f>M62+M72+M67+M71</f>
        <v>1435.12</v>
      </c>
      <c r="N74" s="27">
        <f>N62+N72+N67+N71+N73</f>
        <v>0</v>
      </c>
      <c r="O74" s="31">
        <f>N74-M74</f>
        <v>-1435.12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532232.5800000002</v>
      </c>
      <c r="G75" s="44">
        <f>F75-E75</f>
        <v>-13616.059999999823</v>
      </c>
      <c r="H75" s="45">
        <f>F75/E75*100</f>
        <v>97.50552460843362</v>
      </c>
      <c r="I75" s="31">
        <f>F75-D75</f>
        <v>-92894.48999999976</v>
      </c>
      <c r="J75" s="31">
        <f>F75/D75*100</f>
        <v>85.13990283607463</v>
      </c>
      <c r="K75" s="31">
        <f>K55+K74</f>
        <v>114194.36800000003</v>
      </c>
      <c r="L75" s="31">
        <f>F75/(F75-K75)*100</f>
        <v>127.31672960078586</v>
      </c>
      <c r="M75" s="18">
        <f>M55+M74</f>
        <v>52110.560000000005</v>
      </c>
      <c r="N75" s="18">
        <f>N55+N74</f>
        <v>16675.09000000004</v>
      </c>
      <c r="O75" s="31">
        <f>N75-M75</f>
        <v>-35435.469999999965</v>
      </c>
      <c r="P75" s="31">
        <f>N75/M75*100</f>
        <v>31.999445026113783</v>
      </c>
      <c r="Q75" s="31">
        <f>N75-42872.96</f>
        <v>-26197.86999999996</v>
      </c>
      <c r="R75" s="127">
        <f>N75/42872.96</f>
        <v>0.38894188784725947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15</v>
      </c>
      <c r="D77" s="4" t="s">
        <v>118</v>
      </c>
    </row>
    <row r="78" spans="2:17" ht="31.5">
      <c r="B78" s="71" t="s">
        <v>154</v>
      </c>
      <c r="C78" s="34">
        <f>IF(O55&lt;0,ABS(O55/C77),0)</f>
        <v>2266.6899999999973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42285</v>
      </c>
      <c r="D79" s="34">
        <v>1539.8</v>
      </c>
      <c r="G79" s="4" t="s">
        <v>166</v>
      </c>
      <c r="N79" s="236"/>
      <c r="O79" s="236"/>
    </row>
    <row r="80" spans="3:15" ht="15.75">
      <c r="C80" s="111">
        <v>42284</v>
      </c>
      <c r="D80" s="34">
        <v>4827.5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42283</v>
      </c>
      <c r="D81" s="34">
        <v>1905.5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68.31358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2015-10-08T09:44:32Z</cp:lastPrinted>
  <dcterms:created xsi:type="dcterms:W3CDTF">2003-07-28T11:27:56Z</dcterms:created>
  <dcterms:modified xsi:type="dcterms:W3CDTF">2015-10-09T07:42:45Z</dcterms:modified>
  <cp:category/>
  <cp:version/>
  <cp:contentType/>
  <cp:contentStatus/>
</cp:coreProperties>
</file>